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<sst xmlns="http://schemas.openxmlformats.org/spreadsheetml/2006/main" count="73" uniqueCount="60">
  <si>
    <t>Roofing Material Takeoff</t>
  </si>
  <si>
    <t>A free roofing takeoff spreadsheet: calculate shingle, underlayment, and accessory quantities with waste factor and an order list, in Sheets and Excel.</t>
  </si>
  <si>
    <t>Quick start</t>
  </si>
  <si>
    <t>Open the Materials tab and replace the sample rows with your own — one row per entry. Formulas fill in automatically for new rows.</t>
  </si>
  <si>
    <t>Enter roof area and edge lengths; the calculator gives bundles, rolls and accessories to copy into the list.</t>
  </si>
  <si>
    <t>Use 10% waste for simple gables and 15% or more for hips and valleys.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</si>
  <si>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</si>
  <si>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</si>
  <si>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</si>
  <si>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</si>
  <si>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</si>
  <si>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</si>
  <si>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</si>
  <si>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</si>
  <si>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</si>
  <si>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</si>
  <si>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</si>
  <si>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</si>
  <si>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</si>
  <si>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</si>
  <si>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</si>
  <si>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Architectural shingles</t>
  </si>
  <si>
    <t>Shingles</t>
  </si>
  <si>
    <t>bundle</t>
  </si>
  <si>
    <t>Starter strip</t>
  </si>
  <si>
    <t>Hip and ridge cap</t>
  </si>
  <si>
    <t>Synthetic underlayment 10 sq</t>
  </si>
  <si>
    <t>Underlayment</t>
  </si>
  <si>
    <t>roll</t>
  </si>
  <si>
    <t>Ice and water shield</t>
  </si>
  <si>
    <t>Drip edge 10 ft</t>
  </si>
  <si>
    <t>Flashing</t>
  </si>
  <si>
    <t>each</t>
  </si>
  <si>
    <t>Step and valley flashing</t>
  </si>
  <si>
    <t>lot</t>
  </si>
  <si>
    <t>Ridge vent 4 ft</t>
  </si>
  <si>
    <t>Ventilation</t>
  </si>
  <si>
    <t>Coil nails 1-1/4 in (box)</t>
  </si>
  <si>
    <t>Fasteners</t>
  </si>
  <si>
    <t>box</t>
  </si>
  <si>
    <t>Item</t>
  </si>
  <si>
    <t>Value</t>
  </si>
  <si>
    <t>Notes</t>
  </si>
  <si>
    <t>Dimensions</t>
  </si>
  <si>
    <t>Roof area (sq ft)</t>
  </si>
  <si>
    <t>Measured or from a roof report.</t>
  </si>
  <si>
    <t>Eaves and rakes (ft)</t>
  </si>
  <si>
    <t>Ridge and hips (ft)</t>
  </si>
  <si>
    <t>Valleys (ft)</t>
  </si>
  <si>
    <t>Estimates</t>
  </si>
  <si>
    <t>Squares</t>
  </si>
  <si>
    <t>Shingle bundles (3 per square)</t>
  </si>
  <si>
    <t>Underlayment rolls (10 sq)</t>
  </si>
  <si>
    <t>Starter strip bundles (about 105 ft each)</t>
  </si>
  <si>
    <t>Ridge cap bundles (about 33 ft each)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</si>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</sst>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72</v>
      </c>
      <c r="D2" t="s">
        <v>23</v>
      </c>
      <c r="E2" s="12">
        <v>0.1</v>
      </c>
      <c r="F2" s="13">
        <v>42</v>
      </c>
      <c r="G2" s="14">
        <f>IF($A2="","",ROUNDUP((C2*(1+E2)),0))</f>
        <v>80</v>
      </c>
      <c r="H2" s="15">
        <f>IF($A2="","",(G2*F2))</f>
        <v>3360</v>
      </c>
    </row>
    <row r="3" spans="1:8" x14ac:dyDescent="0.25">
      <c r="A3" t="s">
        <v>24</v>
      </c>
      <c r="B3" t="s">
        <v>22</v>
      </c>
      <c r="C3" s="11">
        <v>2</v>
      </c>
      <c r="D3" t="s">
        <v>23</v>
      </c>
      <c r="E3" s="12">
        <v>0.05</v>
      </c>
      <c r="F3" s="13">
        <v>48</v>
      </c>
      <c r="G3" s="14">
        <f>IF($A3="","",ROUNDUP((C3*(1+E3)),0))</f>
        <v>3</v>
      </c>
      <c r="H3" s="15">
        <f>IF($A3="","",(G3*F3))</f>
        <v>144</v>
      </c>
    </row>
    <row r="4" spans="1:8" x14ac:dyDescent="0.25">
      <c r="A4" t="s">
        <v>25</v>
      </c>
      <c r="B4" t="s">
        <v>22</v>
      </c>
      <c r="C4" s="11">
        <v>3</v>
      </c>
      <c r="D4" t="s">
        <v>23</v>
      </c>
      <c r="E4" s="12">
        <v>0.05</v>
      </c>
      <c r="F4" s="13">
        <v>62</v>
      </c>
      <c r="G4" s="14">
        <f>IF($A4="","",ROUNDUP((C4*(1+E4)),0))</f>
        <v>4</v>
      </c>
      <c r="H4" s="15">
        <f>IF($A4="","",(G4*F4))</f>
        <v>248</v>
      </c>
    </row>
    <row r="5" spans="1:8" x14ac:dyDescent="0.25">
      <c r="A5" t="s">
        <v>26</v>
      </c>
      <c r="B5" t="s">
        <v>27</v>
      </c>
      <c r="C5" s="11">
        <v>3</v>
      </c>
      <c r="D5" t="s">
        <v>28</v>
      </c>
      <c r="E5" s="12">
        <v>0.05</v>
      </c>
      <c r="F5" s="13">
        <v>145</v>
      </c>
      <c r="G5" s="14">
        <f>IF($A5="","",ROUNDUP((C5*(1+E5)),0))</f>
        <v>4</v>
      </c>
      <c r="H5" s="15">
        <f>IF($A5="","",(G5*F5))</f>
        <v>580</v>
      </c>
    </row>
    <row r="6" spans="1:8" x14ac:dyDescent="0.25">
      <c r="A6" t="s">
        <v>29</v>
      </c>
      <c r="B6" t="s">
        <v>27</v>
      </c>
      <c r="C6" s="11">
        <v>3</v>
      </c>
      <c r="D6" t="s">
        <v>28</v>
      </c>
      <c r="E6" s="12">
        <v>0.05</v>
      </c>
      <c r="F6" s="13">
        <v>120</v>
      </c>
      <c r="G6" s="14">
        <f>IF($A6="","",ROUNDUP((C6*(1+E6)),0))</f>
        <v>4</v>
      </c>
      <c r="H6" s="15">
        <f>IF($A6="","",(G6*F6))</f>
        <v>480</v>
      </c>
    </row>
    <row r="7" spans="1:8" x14ac:dyDescent="0.25">
      <c r="A7" t="s">
        <v>30</v>
      </c>
      <c r="B7" t="s">
        <v>31</v>
      </c>
      <c r="C7" s="11">
        <v>21</v>
      </c>
      <c r="D7" t="s">
        <v>32</v>
      </c>
      <c r="E7" s="12">
        <v>0.05</v>
      </c>
      <c r="F7" s="13">
        <v>9.5</v>
      </c>
      <c r="G7" s="14">
        <f>IF($A7="","",ROUNDUP((C7*(1+E7)),0))</f>
        <v>23</v>
      </c>
      <c r="H7" s="15">
        <f>IF($A7="","",(G7*F7))</f>
        <v>218.5</v>
      </c>
    </row>
    <row r="8" spans="1:8" x14ac:dyDescent="0.25">
      <c r="A8" t="s">
        <v>33</v>
      </c>
      <c r="B8" t="s">
        <v>31</v>
      </c>
      <c r="C8" s="11">
        <v>1</v>
      </c>
      <c r="D8" t="s">
        <v>34</v>
      </c>
      <c r="E8" s="12">
        <v>0</v>
      </c>
      <c r="F8" s="13">
        <v>140</v>
      </c>
      <c r="G8" s="14">
        <f>IF($A8="","",ROUNDUP((C8*(1+E8)),0))</f>
        <v>1</v>
      </c>
      <c r="H8" s="15">
        <f>IF($A8="","",(G8*F8))</f>
        <v>140</v>
      </c>
    </row>
    <row r="9" spans="1:8" x14ac:dyDescent="0.25">
      <c r="A9" t="s">
        <v>35</v>
      </c>
      <c r="B9" t="s">
        <v>36</v>
      </c>
      <c r="C9" s="11">
        <v>13</v>
      </c>
      <c r="D9" t="s">
        <v>32</v>
      </c>
      <c r="E9" s="12">
        <v>0.05</v>
      </c>
      <c r="F9" s="13">
        <v>16</v>
      </c>
      <c r="G9" s="14">
        <f>IF($A9="","",ROUNDUP((C9*(1+E9)),0))</f>
        <v>14</v>
      </c>
      <c r="H9" s="15">
        <f>IF($A9="","",(G9*F9))</f>
        <v>224</v>
      </c>
    </row>
    <row r="10" spans="1:8" x14ac:dyDescent="0.25">
      <c r="A10" t="s">
        <v>37</v>
      </c>
      <c r="B10" t="s">
        <v>38</v>
      </c>
      <c r="C10" s="11">
        <v>5</v>
      </c>
      <c r="D10" t="s">
        <v>39</v>
      </c>
      <c r="E10" s="12">
        <v>0</v>
      </c>
      <c r="F10" s="13">
        <v>48</v>
      </c>
      <c r="G10" s="14">
        <f>IF($A10="","",ROUNDUP((C10*(1+E10)),0))</f>
        <v>5</v>
      </c>
      <c r="H10" s="15">
        <f>IF($A10="","",(G10*F10))</f>
        <v>240</v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Shingles, Underlayment, Flashing, Ventilation, Fasteners" sqref="B2:B201">
      <formula1>"Shingles,Underlayment,Flashing,Ventilation,Fasteners"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3" x14ac:dyDescent="0.25">
      <c r="A3" t="s">
        <v>44</v>
      </c>
      <c r="B3" s="19">
        <v>2400</v>
      </c>
      <c r="C3" s="20" t="s">
        <v>45</v>
      </c>
    </row>
    <row r="4" spans="1:2" x14ac:dyDescent="0.25">
      <c r="A4" t="s">
        <v>46</v>
      </c>
      <c r="B4" s="19">
        <v>210</v>
      </c>
    </row>
    <row r="5" spans="1:2" x14ac:dyDescent="0.25">
      <c r="A5" t="s">
        <v>47</v>
      </c>
      <c r="B5" s="19">
        <v>85</v>
      </c>
    </row>
    <row r="6" spans="1:2" x14ac:dyDescent="0.25">
      <c r="A6" t="s">
        <v>48</v>
      </c>
      <c r="B6" s="19">
        <v>30</v>
      </c>
    </row>
    <row r="7" spans="1:3" x14ac:dyDescent="0.25">
      <c r="A7" s="17" t="s">
        <v>49</v>
      </c>
      <c r="B7" s="18"/>
      <c r="C7" s="18"/>
    </row>
    <row r="8" spans="1:2" x14ac:dyDescent="0.25">
      <c r="A8" t="s">
        <v>50</v>
      </c>
      <c r="B8" s="21">
        <f>ROUND(('Calculator'!$B$3/100),1)</f>
        <v>24</v>
      </c>
    </row>
    <row r="9" spans="1:2" x14ac:dyDescent="0.25">
      <c r="A9" t="s">
        <v>51</v>
      </c>
      <c r="B9" s="21">
        <f>ROUNDUP(('Calculator'!$B$8*3),0)</f>
        <v>72</v>
      </c>
    </row>
    <row r="10" spans="1:2" x14ac:dyDescent="0.25">
      <c r="A10" t="s">
        <v>52</v>
      </c>
      <c r="B10" s="21">
        <f>ROUNDUP(('Calculator'!$B$8/10),0)</f>
        <v>3</v>
      </c>
    </row>
    <row r="11" spans="1:2" x14ac:dyDescent="0.25">
      <c r="A11" t="s">
        <v>53</v>
      </c>
      <c r="B11" s="21">
        <f>ROUNDUP(('Calculator'!$B$4/105),0)</f>
        <v>2</v>
      </c>
    </row>
    <row r="12" spans="1:2" x14ac:dyDescent="0.25">
      <c r="A12" t="s">
        <v>54</v>
      </c>
      <c r="B12" s="21">
        <f>ROUNDUP(('Calculator'!$B$5/33),0)</f>
        <v>3</v>
      </c>
    </row>
    <row r="13" spans="1:3" x14ac:dyDescent="0.25">
      <c r="A13" s="17" t="s">
        <v>55</v>
      </c>
      <c r="B13" s="18"/>
      <c r="C13" s="18"/>
    </row>
    <row r="14" spans="1:2" x14ac:dyDescent="0.25">
      <c r="A14" t="s">
        <v>56</v>
      </c>
      <c r="B14" s="22">
        <v>0.07</v>
      </c>
    </row>
    <row r="15" spans="1:2" x14ac:dyDescent="0.25">
      <c r="A15" t="s">
        <v>57</v>
      </c>
      <c r="B15" s="23">
        <f>SUM('Materials'!$H$2:$H$201)</f>
        <v>5634.5</v>
      </c>
    </row>
    <row r="16" spans="1:2" x14ac:dyDescent="0.25">
      <c r="A16" t="s">
        <v>58</v>
      </c>
      <c r="B16" s="23">
        <f>ROUND(('Calculator'!$B$15*(1+'Calculator'!$B$14)),2)</f>
        <v>6028.92</v>
      </c>
    </row>
    <row r="17" spans="1:3" x14ac:dyDescent="0.25">
      <c r="A17" s="17" t="s">
        <v>59</v>
      </c>
      <c r="B17" s="18"/>
      <c r="C17" s="18"/>
    </row>
    <row r="18" spans="1:2" x14ac:dyDescent="0.25">
      <c r="A18" t="s">
        <v>22</v>
      </c>
      <c r="B18" s="23">
        <f>SUMIFS('Materials'!$H$2:$H$201,'Materials'!$B$2:$B$201,"Shingles")</f>
        <v>3752</v>
      </c>
    </row>
    <row r="19" spans="1:2" x14ac:dyDescent="0.25">
      <c r="A19" t="s">
        <v>27</v>
      </c>
      <c r="B19" s="23">
        <f>SUMIFS('Materials'!$H$2:$H$201,'Materials'!$B$2:$B$201,"Underlayment")</f>
        <v>1060</v>
      </c>
    </row>
    <row r="20" spans="1:2" x14ac:dyDescent="0.25">
      <c r="A20" t="s">
        <v>31</v>
      </c>
      <c r="B20" s="23">
        <f>SUMIFS('Materials'!$H$2:$H$201,'Materials'!$B$2:$B$201,"Flashing")</f>
        <v>358.5</v>
      </c>
    </row>
    <row r="21" spans="1:2" x14ac:dyDescent="0.25">
      <c r="A21" t="s">
        <v>36</v>
      </c>
      <c r="B21" s="23">
        <f>SUMIFS('Materials'!$H$2:$H$201,'Materials'!$B$2:$B$201,"Ventilation")</f>
        <v>224</v>
      </c>
    </row>
    <row r="22" spans="1:2" x14ac:dyDescent="0.25">
      <c r="A22" t="s">
        <v>38</v>
      </c>
      <c r="B22" s="23">
        <f>SUMIFS('Materials'!$H$2:$H$201,'Materials'!$B$2:$B$201,"Fasteners")</f>
        <v>240</v>
      </c>
    </row>
  </sheetData>
  <dataValidations count="2">
    <dataValidation type="decimal" operator="greaterThanOrEqual" allowBlank="1" showErrorMessage="1" errorTitle="Number expected" error="Enter a number." sqref="B14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