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<sst xmlns="http://schemas.openxmlformats.org/spreadsheetml/2006/main" count="64" uniqueCount="52">
  <si>
    <t>Pergola Material Takeoff</t>
  </si>
  <si>
    <t>A free material takeoff for pergola builders: list posts, beams, and rafters with waste factor and cost in Sheets or Excel.</t>
  </si>
  <si>
    <t>Quick start</t>
  </si>
  <si>
    <t>Open the Materials tab and replace the sample rows with your own — one row per entry. Formulas fill in automatically for new rows.</t>
  </si>
  <si>
    <t>Enter the footprint and spacing; copy rafter and purlin counts into the list.</t>
  </si>
  <si>
    <t>Size footings and beams for your snow and wind loads; attached pergolas may need a permit.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</si>
  <si>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</si>
  <si>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</si>
  <si>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</si>
  <si>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</si>
  <si>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</si>
  <si>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</si>
  <si>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</si>
  <si>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</si>
  <si>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</si>
  <si>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</si>
  <si>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</si>
  <si>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</si>
  <si>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</si>
  <si>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</si>
  <si>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</si>
  <si>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6x6 cedar posts 10 ft</t>
  </si>
  <si>
    <t>Posts</t>
  </si>
  <si>
    <t>each</t>
  </si>
  <si>
    <t>2x10 cedar beams 16 ft</t>
  </si>
  <si>
    <t>Beams</t>
  </si>
  <si>
    <t>2x8 cedar rafters 14 ft</t>
  </si>
  <si>
    <t>Rafters</t>
  </si>
  <si>
    <t>2x2 cedar purlins 16 ft</t>
  </si>
  <si>
    <t>Purlins</t>
  </si>
  <si>
    <t>Post base anchors</t>
  </si>
  <si>
    <t>Hardware</t>
  </si>
  <si>
    <t>Structural screws and rafter ties</t>
  </si>
  <si>
    <t>kit</t>
  </si>
  <si>
    <t>Concrete 80 lb</t>
  </si>
  <si>
    <t>Footings</t>
  </si>
  <si>
    <t>bag</t>
  </si>
  <si>
    <t>Item</t>
  </si>
  <si>
    <t>Value</t>
  </si>
  <si>
    <t>Notes</t>
  </si>
  <si>
    <t>Dimensions</t>
  </si>
  <si>
    <t>Pergola length (ft)</t>
  </si>
  <si>
    <t>Pergola width (ft)</t>
  </si>
  <si>
    <t>Rafter spacing (in)</t>
  </si>
  <si>
    <t>Purlin spacing (in)</t>
  </si>
  <si>
    <t>Estimates</t>
  </si>
  <si>
    <t>Purlin rows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</si>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</sst>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3" fontId="5" fillId="3" borderId="1" xfId="0" applyNumberFormat="1" applyFont="1" applyFill="1" applyBorder="1"/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4</v>
      </c>
      <c r="D2" t="s">
        <v>23</v>
      </c>
      <c r="E2" s="12">
        <v>0</v>
      </c>
      <c r="F2" s="13">
        <v>92</v>
      </c>
      <c r="G2" s="14">
        <f>IF($A2="","",ROUNDUP((C2*(1+E2)),0))</f>
        <v>4</v>
      </c>
      <c r="H2" s="15">
        <f>IF($A2="","",(G2*F2))</f>
        <v>368</v>
      </c>
    </row>
    <row r="3" spans="1:8" x14ac:dyDescent="0.25">
      <c r="A3" t="s">
        <v>24</v>
      </c>
      <c r="B3" t="s">
        <v>25</v>
      </c>
      <c r="C3" s="11">
        <v>4</v>
      </c>
      <c r="D3" t="s">
        <v>23</v>
      </c>
      <c r="E3" s="12">
        <v>0.05</v>
      </c>
      <c r="F3" s="13">
        <v>78</v>
      </c>
      <c r="G3" s="14">
        <f>IF($A3="","",ROUNDUP((C3*(1+E3)),0))</f>
        <v>5</v>
      </c>
      <c r="H3" s="15">
        <f>IF($A3="","",(G3*F3))</f>
        <v>390</v>
      </c>
    </row>
    <row r="4" spans="1:8" x14ac:dyDescent="0.25">
      <c r="A4" t="s">
        <v>26</v>
      </c>
      <c r="B4" t="s">
        <v>27</v>
      </c>
      <c r="C4" s="11">
        <v>12</v>
      </c>
      <c r="D4" t="s">
        <v>23</v>
      </c>
      <c r="E4" s="12">
        <v>0.05</v>
      </c>
      <c r="F4" s="13">
        <v>48</v>
      </c>
      <c r="G4" s="14">
        <f>IF($A4="","",ROUNDUP((C4*(1+E4)),0))</f>
        <v>13</v>
      </c>
      <c r="H4" s="15">
        <f>IF($A4="","",(G4*F4))</f>
        <v>624</v>
      </c>
    </row>
    <row r="5" spans="1:8" x14ac:dyDescent="0.25">
      <c r="A5" t="s">
        <v>28</v>
      </c>
      <c r="B5" t="s">
        <v>29</v>
      </c>
      <c r="C5" s="11">
        <v>13</v>
      </c>
      <c r="D5" t="s">
        <v>23</v>
      </c>
      <c r="E5" s="12">
        <v>0.1</v>
      </c>
      <c r="F5" s="13">
        <v>12</v>
      </c>
      <c r="G5" s="14">
        <f>IF($A5="","",ROUNDUP((C5*(1+E5)),0))</f>
        <v>15</v>
      </c>
      <c r="H5" s="15">
        <f>IF($A5="","",(G5*F5))</f>
        <v>180</v>
      </c>
    </row>
    <row r="6" spans="1:8" x14ac:dyDescent="0.25">
      <c r="A6" t="s">
        <v>30</v>
      </c>
      <c r="B6" t="s">
        <v>31</v>
      </c>
      <c r="C6" s="11">
        <v>4</v>
      </c>
      <c r="D6" t="s">
        <v>23</v>
      </c>
      <c r="E6" s="12">
        <v>0</v>
      </c>
      <c r="F6" s="13">
        <v>28</v>
      </c>
      <c r="G6" s="14">
        <f>IF($A6="","",ROUNDUP((C6*(1+E6)),0))</f>
        <v>4</v>
      </c>
      <c r="H6" s="15">
        <f>IF($A6="","",(G6*F6))</f>
        <v>112</v>
      </c>
    </row>
    <row r="7" spans="1:8" x14ac:dyDescent="0.25">
      <c r="A7" t="s">
        <v>32</v>
      </c>
      <c r="B7" t="s">
        <v>31</v>
      </c>
      <c r="C7" s="11">
        <v>1</v>
      </c>
      <c r="D7" t="s">
        <v>33</v>
      </c>
      <c r="E7" s="12">
        <v>0</v>
      </c>
      <c r="F7" s="13">
        <v>85</v>
      </c>
      <c r="G7" s="14">
        <f>IF($A7="","",ROUNDUP((C7*(1+E7)),0))</f>
        <v>1</v>
      </c>
      <c r="H7" s="15">
        <f>IF($A7="","",(G7*F7))</f>
        <v>85</v>
      </c>
    </row>
    <row r="8" spans="1:8" x14ac:dyDescent="0.25">
      <c r="A8" t="s">
        <v>34</v>
      </c>
      <c r="B8" t="s">
        <v>35</v>
      </c>
      <c r="C8" s="11">
        <v>12</v>
      </c>
      <c r="D8" t="s">
        <v>36</v>
      </c>
      <c r="E8" s="12">
        <v>0.1</v>
      </c>
      <c r="F8" s="13">
        <v>6.5</v>
      </c>
      <c r="G8" s="14">
        <f>IF($A8="","",ROUNDUP((C8*(1+E8)),0))</f>
        <v>14</v>
      </c>
      <c r="H8" s="15">
        <f>IF($A8="","",(G8*F8))</f>
        <v>91</v>
      </c>
    </row>
    <row r="9" spans="1:8" x14ac:dyDescent="0.25">
      <c r="C9" s="11"/>
      <c r="E9" s="12"/>
      <c r="F9" s="13"/>
      <c r="G9" s="14" t="str">
        <f>IF($A9="","",ROUNDUP((C9*(1+E9)),0))</f>
        <v/>
      </c>
      <c r="H9" s="15" t="str">
        <f>IF($A9="","",(G9*F9))</f>
        <v/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Posts, Beams, Rafters, Purlins, Hardware, Footings" sqref="B2:B201">
      <formula1>"Posts,Beams,Rafters,Purlins,Hardware,Footings"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v>14</v>
      </c>
    </row>
    <row r="4" spans="1:2" x14ac:dyDescent="0.25">
      <c r="A4" t="s">
        <v>42</v>
      </c>
      <c r="B4" s="19">
        <v>12</v>
      </c>
    </row>
    <row r="5" spans="1:2" x14ac:dyDescent="0.25">
      <c r="A5" t="s">
        <v>43</v>
      </c>
      <c r="B5" s="19">
        <v>16</v>
      </c>
    </row>
    <row r="6" spans="1:2" x14ac:dyDescent="0.25">
      <c r="A6" t="s">
        <v>44</v>
      </c>
      <c r="B6" s="19">
        <v>12</v>
      </c>
    </row>
    <row r="7" spans="1:3" x14ac:dyDescent="0.25">
      <c r="A7" s="17" t="s">
        <v>45</v>
      </c>
      <c r="B7" s="18"/>
      <c r="C7" s="18"/>
    </row>
    <row r="8" spans="1:2" x14ac:dyDescent="0.25">
      <c r="A8" t="s">
        <v>27</v>
      </c>
      <c r="B8" s="20">
        <f>(ROUNDUP((('Calculator'!$B$3*12)/'Calculator'!$B$5),0)+1)</f>
        <v>12</v>
      </c>
    </row>
    <row r="9" spans="1:2" x14ac:dyDescent="0.25">
      <c r="A9" t="s">
        <v>46</v>
      </c>
      <c r="B9" s="20">
        <f>(ROUNDUP((('Calculator'!$B$4*12)/'Calculator'!$B$6),0)+1)</f>
        <v>13</v>
      </c>
    </row>
    <row r="10" spans="1:3" x14ac:dyDescent="0.25">
      <c r="A10" s="17" t="s">
        <v>47</v>
      </c>
      <c r="B10" s="18"/>
      <c r="C10" s="18"/>
    </row>
    <row r="11" spans="1:2" x14ac:dyDescent="0.25">
      <c r="A11" t="s">
        <v>48</v>
      </c>
      <c r="B11" s="21">
        <v>0.07</v>
      </c>
    </row>
    <row r="12" spans="1:2" x14ac:dyDescent="0.25">
      <c r="A12" t="s">
        <v>49</v>
      </c>
      <c r="B12" s="22">
        <f>SUM('Materials'!$H$2:$H$201)</f>
        <v>1850</v>
      </c>
    </row>
    <row r="13" spans="1:2" x14ac:dyDescent="0.25">
      <c r="A13" t="s">
        <v>50</v>
      </c>
      <c r="B13" s="22">
        <f>ROUND(('Calculator'!$B$12*(1+'Calculator'!$B$11)),2)</f>
        <v>1979.5</v>
      </c>
    </row>
    <row r="14" spans="1:3" x14ac:dyDescent="0.25">
      <c r="A14" s="17" t="s">
        <v>51</v>
      </c>
      <c r="B14" s="18"/>
      <c r="C14" s="18"/>
    </row>
    <row r="15" spans="1:2" x14ac:dyDescent="0.25">
      <c r="A15" t="s">
        <v>22</v>
      </c>
      <c r="B15" s="22">
        <f>SUMIFS('Materials'!$H$2:$H$201,'Materials'!$B$2:$B$201,"Posts")</f>
        <v>368</v>
      </c>
    </row>
    <row r="16" spans="1:2" x14ac:dyDescent="0.25">
      <c r="A16" t="s">
        <v>25</v>
      </c>
      <c r="B16" s="22">
        <f>SUMIFS('Materials'!$H$2:$H$201,'Materials'!$B$2:$B$201,"Beams")</f>
        <v>390</v>
      </c>
    </row>
    <row r="17" spans="1:2" x14ac:dyDescent="0.25">
      <c r="A17" t="s">
        <v>27</v>
      </c>
      <c r="B17" s="22">
        <f>SUMIFS('Materials'!$H$2:$H$201,'Materials'!$B$2:$B$201,"Rafters")</f>
        <v>624</v>
      </c>
    </row>
    <row r="18" spans="1:2" x14ac:dyDescent="0.25">
      <c r="A18" t="s">
        <v>29</v>
      </c>
      <c r="B18" s="22">
        <f>SUMIFS('Materials'!$H$2:$H$201,'Materials'!$B$2:$B$201,"Purlins")</f>
        <v>180</v>
      </c>
    </row>
    <row r="19" spans="1:2" x14ac:dyDescent="0.25">
      <c r="A19" t="s">
        <v>31</v>
      </c>
      <c r="B19" s="22">
        <f>SUMIFS('Materials'!$H$2:$H$201,'Materials'!$B$2:$B$201,"Hardware")</f>
        <v>197</v>
      </c>
    </row>
    <row r="20" spans="1:2" x14ac:dyDescent="0.25">
      <c r="A20" t="s">
        <v>35</v>
      </c>
      <c r="B20" s="22">
        <f>SUMIFS('Materials'!$H$2:$H$201,'Materials'!$B$2:$B$201,"Footings")</f>
        <v>91</v>
      </c>
    </row>
  </sheetData>
  <dataValidations count="2">
    <dataValidation type="decimal" operator="greaterThanOrEqual" allowBlank="1" showErrorMessage="1" errorTitle="Number expected" error="Enter a number." sqref="B11">
      <formula1>-1000000000000</formula1>
    </dataValidation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